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malegislature.sharepoint.com/sites/JointCmte-Labor/Shared Documents/192nd Session/UI Commission/Meeting Notices and content/11-29-21 mtg/"/>
    </mc:Choice>
  </mc:AlternateContent>
  <xr:revisionPtr revIDLastSave="40" documentId="11_67060F80925F9AA95E4D42B5C69C692C1610BBEB" xr6:coauthVersionLast="47" xr6:coauthVersionMax="47" xr10:uidLastSave="{7885E65C-627E-45A7-9716-1F59B57138DD}"/>
  <bookViews>
    <workbookView xWindow="-24945" yWindow="1320" windowWidth="24225" windowHeight="13680" xr2:uid="{00000000-000D-0000-FFFF-FFFF00000000}"/>
  </bookViews>
  <sheets>
    <sheet name="Model" sheetId="8" r:id="rId1"/>
    <sheet name="Inputs" sheetId="7"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7" l="1"/>
  <c r="S25" i="7"/>
  <c r="F25" i="7"/>
  <c r="F24" i="7"/>
  <c r="F23" i="7"/>
  <c r="S21" i="7"/>
  <c r="Q21" i="7"/>
  <c r="P21" i="7"/>
  <c r="R21" i="7" s="1"/>
  <c r="Q20" i="7"/>
  <c r="P20" i="7"/>
  <c r="S20" i="7" s="1"/>
  <c r="S19" i="7"/>
  <c r="Q19" i="7"/>
  <c r="P19" i="7"/>
  <c r="R19" i="7" s="1"/>
  <c r="Q18" i="7"/>
  <c r="P18" i="7"/>
  <c r="S18" i="7" s="1"/>
  <c r="S17" i="7"/>
  <c r="Q17" i="7"/>
  <c r="P17" i="7"/>
  <c r="R17" i="7" s="1"/>
  <c r="Q16" i="7"/>
  <c r="P16" i="7"/>
  <c r="S16" i="7" s="1"/>
  <c r="S15" i="7"/>
  <c r="Q15" i="7"/>
  <c r="P15" i="7"/>
  <c r="R15" i="7" s="1"/>
  <c r="Q14" i="7"/>
  <c r="P14" i="7"/>
  <c r="S14" i="7" s="1"/>
  <c r="S13" i="7"/>
  <c r="Q13" i="7"/>
  <c r="P13" i="7"/>
  <c r="R13" i="7" s="1"/>
  <c r="Q12" i="7"/>
  <c r="P12" i="7"/>
  <c r="S12" i="7" s="1"/>
  <c r="S11" i="7"/>
  <c r="Q11" i="7"/>
  <c r="P11" i="7"/>
  <c r="R11" i="7" s="1"/>
  <c r="Q10" i="7"/>
  <c r="P10" i="7"/>
  <c r="S10" i="7" s="1"/>
  <c r="S9" i="7"/>
  <c r="Q9" i="7"/>
  <c r="P9" i="7"/>
  <c r="R9" i="7" s="1"/>
  <c r="Q8" i="7"/>
  <c r="P8" i="7"/>
  <c r="S8" i="7" s="1"/>
  <c r="S7" i="7"/>
  <c r="Q7" i="7"/>
  <c r="P7" i="7"/>
  <c r="R7" i="7" s="1"/>
  <c r="Q6" i="7"/>
  <c r="P6" i="7"/>
  <c r="S6" i="7" s="1"/>
  <c r="S5" i="7"/>
  <c r="Q5" i="7"/>
  <c r="P5" i="7"/>
  <c r="R5" i="7" s="1"/>
  <c r="Q4" i="7"/>
  <c r="P4" i="7"/>
  <c r="S4" i="7" s="1"/>
  <c r="S3" i="7"/>
  <c r="Q3" i="7"/>
  <c r="P3" i="7"/>
  <c r="R3" i="7" s="1"/>
  <c r="C21" i="8"/>
  <c r="C20" i="8"/>
  <c r="C19" i="8"/>
  <c r="D19" i="8" s="1"/>
  <c r="C18" i="8"/>
  <c r="C17" i="8"/>
  <c r="D17" i="8" s="1"/>
  <c r="C16" i="8"/>
  <c r="C15" i="8"/>
  <c r="C14" i="8"/>
  <c r="C13" i="8"/>
  <c r="D13" i="8" s="1"/>
  <c r="C12" i="8"/>
  <c r="C11" i="8"/>
  <c r="D11" i="8" s="1"/>
  <c r="C10" i="8"/>
  <c r="C9" i="8"/>
  <c r="C8" i="8"/>
  <c r="C7" i="8"/>
  <c r="D7" i="8" s="1"/>
  <c r="C6" i="8"/>
  <c r="C5" i="8"/>
  <c r="C4" i="8"/>
  <c r="C3" i="8"/>
  <c r="D3" i="8" s="1"/>
  <c r="D5" i="8" l="1"/>
  <c r="D21" i="8"/>
  <c r="D12" i="8"/>
  <c r="S23" i="7"/>
  <c r="D15" i="8"/>
  <c r="D9" i="8"/>
  <c r="D10" i="8"/>
  <c r="R4" i="7"/>
  <c r="D4" i="8" s="1"/>
  <c r="R6" i="7"/>
  <c r="D6" i="8" s="1"/>
  <c r="R8" i="7"/>
  <c r="D8" i="8" s="1"/>
  <c r="R10" i="7"/>
  <c r="R12" i="7"/>
  <c r="R14" i="7"/>
  <c r="D14" i="8" s="1"/>
  <c r="R16" i="7"/>
  <c r="D16" i="8" s="1"/>
  <c r="R18" i="7"/>
  <c r="D18" i="8" s="1"/>
  <c r="R20" i="7"/>
  <c r="D20" i="8" s="1"/>
  <c r="R23" i="7" l="1"/>
  <c r="S24" i="7" s="1"/>
  <c r="G20" i="8" s="1"/>
  <c r="F20" i="8" s="1"/>
  <c r="G5" i="8" l="1"/>
  <c r="F5" i="8" s="1"/>
  <c r="G9" i="8"/>
  <c r="F9" i="8" s="1"/>
  <c r="G12" i="8"/>
  <c r="F12" i="8" s="1"/>
  <c r="G6" i="8"/>
  <c r="F6" i="8" s="1"/>
  <c r="G8" i="8"/>
  <c r="F8" i="8" s="1"/>
  <c r="G16" i="8"/>
  <c r="F16" i="8" s="1"/>
  <c r="G21" i="8"/>
  <c r="F21" i="8" s="1"/>
  <c r="G18" i="8"/>
  <c r="F18" i="8" s="1"/>
  <c r="G15" i="8"/>
  <c r="F15" i="8" s="1"/>
  <c r="G4" i="8"/>
  <c r="F4" i="8" s="1"/>
  <c r="G11" i="8"/>
  <c r="F11" i="8" s="1"/>
  <c r="G17" i="8"/>
  <c r="F17" i="8" s="1"/>
  <c r="G19" i="8"/>
  <c r="F19" i="8" s="1"/>
  <c r="G13" i="8"/>
  <c r="F13" i="8" s="1"/>
  <c r="G3" i="8"/>
  <c r="F3" i="8" s="1"/>
  <c r="G7" i="8"/>
  <c r="F7" i="8" s="1"/>
  <c r="G10" i="8"/>
  <c r="F10" i="8" s="1"/>
  <c r="G14" i="8"/>
  <c r="F14" i="8" s="1"/>
</calcChain>
</file>

<file path=xl/sharedStrings.xml><?xml version="1.0" encoding="utf-8"?>
<sst xmlns="http://schemas.openxmlformats.org/spreadsheetml/2006/main" count="138" uniqueCount="85">
  <si>
    <t>Current Law
2019, 15k TWB</t>
  </si>
  <si>
    <t>New Taxable
Wage Base</t>
  </si>
  <si>
    <t>Revenue target
(% of total wages)</t>
  </si>
  <si>
    <t>NAICS</t>
  </si>
  <si>
    <t>ShortName</t>
  </si>
  <si>
    <t>Effective
Tax Rate</t>
  </si>
  <si>
    <t>Avg. statutory rate
(modeled)</t>
  </si>
  <si>
    <t>11</t>
  </si>
  <si>
    <t>Agriculture+</t>
  </si>
  <si>
    <t>21</t>
  </si>
  <si>
    <t>Mining</t>
  </si>
  <si>
    <t>22</t>
  </si>
  <si>
    <t>Utilities</t>
  </si>
  <si>
    <t>23</t>
  </si>
  <si>
    <t>Construction</t>
  </si>
  <si>
    <t>31-33</t>
  </si>
  <si>
    <t>Manufacturing</t>
  </si>
  <si>
    <t>42</t>
  </si>
  <si>
    <t>Wholesale Trade</t>
  </si>
  <si>
    <t>44-45</t>
  </si>
  <si>
    <t>Retail Trade</t>
  </si>
  <si>
    <t>48-49</t>
  </si>
  <si>
    <t>Transportation and Warehousing</t>
  </si>
  <si>
    <t>51</t>
  </si>
  <si>
    <t>Information</t>
  </si>
  <si>
    <t>52</t>
  </si>
  <si>
    <t>Finance and Insurance</t>
  </si>
  <si>
    <t>53</t>
  </si>
  <si>
    <t>Real Estate</t>
  </si>
  <si>
    <t>54</t>
  </si>
  <si>
    <t>Professional/Scientific/Technical</t>
  </si>
  <si>
    <t>55</t>
  </si>
  <si>
    <t>Management of Companies</t>
  </si>
  <si>
    <t>56</t>
  </si>
  <si>
    <t>Admin &amp; Support+</t>
  </si>
  <si>
    <t>61</t>
  </si>
  <si>
    <t>Educational Services</t>
  </si>
  <si>
    <t>62</t>
  </si>
  <si>
    <t>Health Care and Social Assistance</t>
  </si>
  <si>
    <t>71</t>
  </si>
  <si>
    <t>Arts &amp; Entertainment</t>
  </si>
  <si>
    <t>72</t>
  </si>
  <si>
    <t>Accommodation &amp; Food</t>
  </si>
  <si>
    <t>81</t>
  </si>
  <si>
    <t>Other Services (exc Public Administration)</t>
  </si>
  <si>
    <t>Notes</t>
  </si>
  <si>
    <t>*Results for "Educational Services" are unreliable, because of the mix of public and private employees</t>
  </si>
  <si>
    <t>*Only industries with at least 1000 employers are included in the chart</t>
  </si>
  <si>
    <t>*Revenue target is a percentage of total wages in the state</t>
  </si>
  <si>
    <t>*The model is less accurate for taxable wage base numbers above the 90th percentile of particular industries</t>
  </si>
  <si>
    <t>*Effective and statutory tax rates reflect both the differential impact of the taxable wage base and variation in average employer rating</t>
  </si>
  <si>
    <t xml:space="preserve">*** Sheet 2, "Inputs", includes data sources and computations. Data was sourced in first from DUA provided contributions data for 2019, then from BLS data on industries. Computations performed by Evan Horowitz at Center for State Policy Analysis at Tufts University. </t>
  </si>
  <si>
    <t>https://www.bls.gov/oes/current/oes_research_estimates.htm</t>
  </si>
  <si>
    <t>DUA</t>
  </si>
  <si>
    <t>BLS</t>
  </si>
  <si>
    <t>Computed</t>
  </si>
  <si>
    <t>Industry</t>
  </si>
  <si>
    <t>All Rated Employers</t>
  </si>
  <si>
    <t>Total Payroll ($ 000s)</t>
  </si>
  <si>
    <t>Contributory Payroll ($ 000s)</t>
  </si>
  <si>
    <t>Actual Contributions ($ 000s)</t>
  </si>
  <si>
    <t>naics</t>
  </si>
  <si>
    <t>a_mean</t>
  </si>
  <si>
    <t>a_pct10</t>
  </si>
  <si>
    <t>a_pct25</t>
  </si>
  <si>
    <t>a_median</t>
  </si>
  <si>
    <t>a_pct75</t>
  </si>
  <si>
    <t>a_pct90</t>
  </si>
  <si>
    <t>Imputed
top decile (1)</t>
  </si>
  <si>
    <t>Imputed
top decile (2)</t>
  </si>
  <si>
    <t>Taxable wages:
15k wage base</t>
  </si>
  <si>
    <t>Taxable wages:
modeled wage base</t>
  </si>
  <si>
    <t>Agriculture, Forestry, Fishing, Hunting</t>
  </si>
  <si>
    <t>Real Estate &amp; Rental and Leasing</t>
  </si>
  <si>
    <t>Professional, Scientific, Technical Services</t>
  </si>
  <si>
    <t>Management of Companies and Enterprises</t>
  </si>
  <si>
    <t>Admin &amp; Support and Waste Mgt &amp; Remediation</t>
  </si>
  <si>
    <t>Arts, Entertainment, Recreation</t>
  </si>
  <si>
    <t>Accommodation and Food Services</t>
  </si>
  <si>
    <t xml:space="preserve"> </t>
  </si>
  <si>
    <t>Effective Tax Rate</t>
  </si>
  <si>
    <t>Weiighted Average</t>
  </si>
  <si>
    <t>Neutral Tax Change</t>
  </si>
  <si>
    <t>Tax Target Adjustment</t>
  </si>
  <si>
    <t>1% - $2b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</si>
</sst>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
  </numFmts>
  <fonts count="12">
    <font>
      <sz val="11"/>
      <color theme="1"/>
      <name val="Calibri"/>
      <charset val="134"/>
      <scheme val="minor"/>
    </font>
    <font>
      <sz val="10"/>
      <name val="MS Sans Serif"/>
      <charset val="134"/>
    </font>
    <font>
      <sz val="10"/>
      <name val="Nimbus Roman No9 L"/>
      <charset val="134"/>
    </font>
    <font>
      <b/>
      <sz val="10"/>
      <color indexed="8"/>
      <name val="Arial"/>
      <charset val="134"/>
    </font>
    <font>
      <sz val="10"/>
      <color theme="1"/>
      <name val="Calibri"/>
      <charset val="134"/>
      <scheme val="minor"/>
    </font>
    <font>
      <b/>
      <sz val="10"/>
      <color theme="1"/>
      <name val="Calibri"/>
      <charset val="134"/>
      <scheme val="minor"/>
    </font>
    <font>
      <b/>
      <sz val="10"/>
      <name val="Nimbus Roman No9 L"/>
      <charset val="134"/>
    </font>
    <font>
      <sz val="12"/>
      <color theme="1"/>
      <name val="Calibri"/>
      <charset val="134"/>
      <scheme val="minor"/>
    </font>
    <font>
      <sz val="10"/>
      <color indexed="8"/>
      <name val="Arial"/>
      <charset val="134"/>
    </font>
    <font>
      <sz val="11"/>
      <color theme="1"/>
      <name val="Calibri"/>
      <charset val="134"/>
      <scheme val="minor"/>
    </font>
    <font>
      <b/>
      <sz val="10"/>
      <name val="MS Sans Serif"/>
    </font>
    <font>
      <u/>
      <sz val="11"/>
      <color theme="10"/>
      <name val="Calibri"/>
      <family val="2"/>
      <scheme val="minor"/>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auto="1"/>
      </left>
      <right/>
      <top style="medium">
        <color auto="1"/>
      </top>
      <bottom style="medium">
        <color auto="1"/>
      </bottom>
      <diagonal/>
    </border>
  </borders>
  <cellStyleXfs count="5">
    <xf numFmtId="0" fontId="0" fillId="0" borderId="0">
      <alignment vertical="center"/>
    </xf>
    <xf numFmtId="0" fontId="1" fillId="0" borderId="0"/>
    <xf numFmtId="0" fontId="8" fillId="0" borderId="0"/>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1">
    <xf numFmtId="0" fontId="0" fillId="0" borderId="0" xfId="0">
      <alignment vertical="center"/>
    </xf>
    <xf numFmtId="0" fontId="1" fillId="0" borderId="0" xfId="1"/>
    <xf numFmtId="0" fontId="0" fillId="0" borderId="0" xfId="0" applyFill="1" applyAlignment="1"/>
    <xf numFmtId="0" fontId="3" fillId="2" borderId="1" xfId="2" applyFont="1" applyFill="1" applyBorder="1" applyAlignment="1">
      <alignment horizontal="center" vertical="center" wrapText="1"/>
    </xf>
    <xf numFmtId="165" fontId="0" fillId="0" borderId="0" xfId="0" applyNumberFormat="1">
      <alignment vertical="center"/>
    </xf>
    <xf numFmtId="0" fontId="4" fillId="0" borderId="0" xfId="0" applyFont="1">
      <alignment vertical="center"/>
    </xf>
    <xf numFmtId="0" fontId="0" fillId="0" borderId="0" xfId="0" applyFont="1" applyFill="1" applyAlignment="1"/>
    <xf numFmtId="10" fontId="0" fillId="0" borderId="0" xfId="3" applyNumberFormat="1" applyFont="1" applyFill="1" applyAlignment="1"/>
    <xf numFmtId="9" fontId="0" fillId="0" borderId="0" xfId="0" applyNumberFormat="1" applyFill="1" applyAlignment="1"/>
    <xf numFmtId="10" fontId="0" fillId="0" borderId="0" xfId="0" applyNumberFormat="1" applyFill="1" applyAlignment="1"/>
    <xf numFmtId="3" fontId="0" fillId="0" borderId="0" xfId="0" applyNumberFormat="1" applyFont="1" applyFill="1" applyAlignment="1">
      <alignment horizontal="right"/>
    </xf>
    <xf numFmtId="3" fontId="5" fillId="0" borderId="0" xfId="0" applyNumberFormat="1" applyFont="1" applyFill="1" applyAlignment="1">
      <alignment horizontal="right"/>
    </xf>
    <xf numFmtId="164" fontId="0" fillId="0" borderId="0" xfId="3" applyNumberFormat="1" applyFont="1">
      <alignment vertical="center"/>
    </xf>
    <xf numFmtId="0" fontId="3" fillId="2" borderId="0" xfId="2" applyFont="1" applyFill="1" applyAlignment="1">
      <alignment horizontal="center" vertical="center"/>
    </xf>
    <xf numFmtId="0" fontId="3" fillId="2" borderId="0" xfId="2" applyFont="1" applyFill="1" applyAlignment="1">
      <alignment horizontal="center" vertical="center" wrapText="1"/>
    </xf>
    <xf numFmtId="0" fontId="6" fillId="0" borderId="0" xfId="1" applyFont="1"/>
    <xf numFmtId="0" fontId="2" fillId="0" borderId="0" xfId="1" applyFont="1"/>
    <xf numFmtId="0" fontId="7" fillId="0" borderId="0" xfId="0" applyFont="1" applyAlignment="1">
      <alignment horizontal="center" vertical="center"/>
    </xf>
    <xf numFmtId="164" fontId="0" fillId="0" borderId="0" xfId="0" applyNumberFormat="1">
      <alignment vertical="center"/>
    </xf>
    <xf numFmtId="0" fontId="5" fillId="0" borderId="0" xfId="0" applyFont="1" applyAlignment="1">
      <alignment horizontal="center" vertical="center" wrapText="1"/>
    </xf>
    <xf numFmtId="0" fontId="2" fillId="0" borderId="0" xfId="1" applyFont="1" applyAlignment="1">
      <alignment horizontal="center"/>
    </xf>
    <xf numFmtId="0" fontId="1" fillId="0" borderId="0" xfId="1" applyAlignment="1">
      <alignment horizontal="center"/>
    </xf>
    <xf numFmtId="0" fontId="0" fillId="0" borderId="0" xfId="0" applyAlignment="1">
      <alignment horizontal="center" vertical="center"/>
    </xf>
    <xf numFmtId="0" fontId="10" fillId="0" borderId="0" xfId="1" applyFont="1"/>
    <xf numFmtId="0" fontId="11" fillId="0" borderId="0" xfId="4">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1" applyFont="1" applyAlignment="1">
      <alignment horizontal="center"/>
    </xf>
    <xf numFmtId="0" fontId="1" fillId="0" borderId="0" xfId="1" applyAlignment="1">
      <alignment horizontal="center"/>
    </xf>
    <xf numFmtId="0" fontId="1" fillId="0" borderId="0" xfId="1" applyFill="1" applyAlignment="1">
      <alignment horizontal="center"/>
    </xf>
    <xf numFmtId="0" fontId="0" fillId="0" borderId="0" xfId="0" applyAlignment="1">
      <alignment horizontal="center" vertical="center"/>
    </xf>
  </cellXfs>
  <cellStyles count="5">
    <cellStyle name="Hyperlink" xfId="4" builtinId="8"/>
    <cellStyle name="Normal" xfId="0" builtinId="0"/>
    <cellStyle name="Normal 2" xfId="1" xr:uid="{00000000-0005-0000-0000-000001000000}"/>
    <cellStyle name="Normal_1.1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r>
              <a:rPr lang="en-US"/>
              <a:t>Changes in effective tax rates (total contributions/total wages)</a:t>
            </a:r>
          </a:p>
          <a:p>
            <a:pPr defTabSz="914400">
              <a:defRPr/>
            </a:pPr>
            <a:r>
              <a:rPr lang="en-US" sz="1000"/>
              <a:t>Data sourced from DUA and BLS.</a:t>
            </a:r>
            <a:r>
              <a:rPr lang="en-US" sz="1000" baseline="0"/>
              <a:t> All computations by Evan Horowitz, CSPA.</a:t>
            </a:r>
            <a:endParaRPr lang="en-US" sz="1000"/>
          </a:p>
        </c:rich>
      </c:tx>
      <c:overlay val="0"/>
      <c:spPr>
        <a:noFill/>
        <a:ln>
          <a:noFill/>
        </a:ln>
        <a:effectLst/>
      </c:spPr>
      <c:txPr>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 15kTWB</c:v>
          </c:tx>
          <c:spPr>
            <a:solidFill>
              <a:schemeClr val="accent1"/>
            </a:solidFill>
            <a:ln>
              <a:noFill/>
            </a:ln>
            <a:effectLst/>
          </c:spPr>
          <c:invertIfNegative val="0"/>
          <c:cat>
            <c:strRef>
              <c:f>(Model!$B$6:$B$14,Model!$B$16,Model!$B$18:$B$20)</c:f>
              <c:strCache>
                <c:ptCount val="13"/>
                <c:pt idx="0">
                  <c:v>Construction</c:v>
                </c:pt>
                <c:pt idx="1">
                  <c:v>Manufacturing</c:v>
                </c:pt>
                <c:pt idx="2">
                  <c:v>Wholesale Trade</c:v>
                </c:pt>
                <c:pt idx="3">
                  <c:v>Retail Trade</c:v>
                </c:pt>
                <c:pt idx="4">
                  <c:v>Transportation and Warehousing</c:v>
                </c:pt>
                <c:pt idx="5">
                  <c:v>Information</c:v>
                </c:pt>
                <c:pt idx="6">
                  <c:v>Finance and Insurance</c:v>
                </c:pt>
                <c:pt idx="7">
                  <c:v>Real Estate</c:v>
                </c:pt>
                <c:pt idx="8">
                  <c:v>Professional/Scientific/Technical</c:v>
                </c:pt>
                <c:pt idx="9">
                  <c:v>Admin &amp; Support+</c:v>
                </c:pt>
                <c:pt idx="10">
                  <c:v>Health Care and Social Assistance</c:v>
                </c:pt>
                <c:pt idx="11">
                  <c:v>Arts &amp; Entertainment</c:v>
                </c:pt>
                <c:pt idx="12">
                  <c:v>Accommodation &amp; Food</c:v>
                </c:pt>
              </c:strCache>
            </c:strRef>
          </c:cat>
          <c:val>
            <c:numRef>
              <c:f>(Model!$C$6:$C$14,Model!$C$16,Model!$C$18:$C$20)</c:f>
              <c:numCache>
                <c:formatCode>0.0%</c:formatCode>
                <c:ptCount val="13"/>
                <c:pt idx="0">
                  <c:v>1.9456777640131383E-2</c:v>
                </c:pt>
                <c:pt idx="1">
                  <c:v>6.9102128988679104E-3</c:v>
                </c:pt>
                <c:pt idx="2">
                  <c:v>6.8634218418225741E-3</c:v>
                </c:pt>
                <c:pt idx="3">
                  <c:v>1.0623874745305757E-2</c:v>
                </c:pt>
                <c:pt idx="4">
                  <c:v>1.5030023781188982E-2</c:v>
                </c:pt>
                <c:pt idx="5">
                  <c:v>6.1236084882714207E-3</c:v>
                </c:pt>
                <c:pt idx="6">
                  <c:v>3.5803558889837832E-3</c:v>
                </c:pt>
                <c:pt idx="7">
                  <c:v>8.090687341139241E-3</c:v>
                </c:pt>
                <c:pt idx="8">
                  <c:v>5.1083838474280307E-3</c:v>
                </c:pt>
                <c:pt idx="9">
                  <c:v>2.1089883140182265E-2</c:v>
                </c:pt>
                <c:pt idx="10">
                  <c:v>9.5611422385642117E-3</c:v>
                </c:pt>
                <c:pt idx="11">
                  <c:v>1.3854488276426664E-2</c:v>
                </c:pt>
                <c:pt idx="12">
                  <c:v>1.8242794839395053E-2</c:v>
                </c:pt>
              </c:numCache>
            </c:numRef>
          </c:val>
          <c:extLst>
            <c:ext xmlns:c16="http://schemas.microsoft.com/office/drawing/2014/chart" uri="{C3380CC4-5D6E-409C-BE32-E72D297353CC}">
              <c16:uniqueId val="{00000000-A92F-45C6-8352-0CEDE8560AB4}"/>
            </c:ext>
          </c:extLst>
        </c:ser>
        <c:ser>
          <c:idx val="1"/>
          <c:order val="1"/>
          <c:tx>
            <c:v>W/ changes</c:v>
          </c:tx>
          <c:spPr>
            <a:solidFill>
              <a:schemeClr val="accent2"/>
            </a:solidFill>
            <a:ln>
              <a:noFill/>
            </a:ln>
            <a:effectLst/>
          </c:spPr>
          <c:invertIfNegative val="0"/>
          <c:cat>
            <c:strRef>
              <c:f>(Model!$B$6:$B$14,Model!$B$16,Model!$B$18:$B$20)</c:f>
              <c:strCache>
                <c:ptCount val="13"/>
                <c:pt idx="0">
                  <c:v>Construction</c:v>
                </c:pt>
                <c:pt idx="1">
                  <c:v>Manufacturing</c:v>
                </c:pt>
                <c:pt idx="2">
                  <c:v>Wholesale Trade</c:v>
                </c:pt>
                <c:pt idx="3">
                  <c:v>Retail Trade</c:v>
                </c:pt>
                <c:pt idx="4">
                  <c:v>Transportation and Warehousing</c:v>
                </c:pt>
                <c:pt idx="5">
                  <c:v>Information</c:v>
                </c:pt>
                <c:pt idx="6">
                  <c:v>Finance and Insurance</c:v>
                </c:pt>
                <c:pt idx="7">
                  <c:v>Real Estate</c:v>
                </c:pt>
                <c:pt idx="8">
                  <c:v>Professional/Scientific/Technical</c:v>
                </c:pt>
                <c:pt idx="9">
                  <c:v>Admin &amp; Support+</c:v>
                </c:pt>
                <c:pt idx="10">
                  <c:v>Health Care and Social Assistance</c:v>
                </c:pt>
                <c:pt idx="11">
                  <c:v>Arts &amp; Entertainment</c:v>
                </c:pt>
                <c:pt idx="12">
                  <c:v>Accommodation &amp; Food</c:v>
                </c:pt>
              </c:strCache>
            </c:strRef>
          </c:cat>
          <c:val>
            <c:numRef>
              <c:f>(Model!$F$6:$F$14,Model!$F$16,Model!$F$18:$F$20)</c:f>
              <c:numCache>
                <c:formatCode>0.0%</c:formatCode>
                <c:ptCount val="13"/>
                <c:pt idx="0">
                  <c:v>2.4533033355518853E-2</c:v>
                </c:pt>
                <c:pt idx="1">
                  <c:v>7.9178503809482284E-3</c:v>
                </c:pt>
                <c:pt idx="2">
                  <c:v>7.9655645586900695E-3</c:v>
                </c:pt>
                <c:pt idx="3">
                  <c:v>9.37066190880184E-3</c:v>
                </c:pt>
                <c:pt idx="4">
                  <c:v>1.6475491861880555E-2</c:v>
                </c:pt>
                <c:pt idx="5">
                  <c:v>7.9720725362583036E-3</c:v>
                </c:pt>
                <c:pt idx="6">
                  <c:v>4.5914575990341428E-3</c:v>
                </c:pt>
                <c:pt idx="7">
                  <c:v>9.1971556498103429E-3</c:v>
                </c:pt>
                <c:pt idx="8">
                  <c:v>6.8170909538684188E-3</c:v>
                </c:pt>
                <c:pt idx="9">
                  <c:v>2.1365389114928784E-2</c:v>
                </c:pt>
                <c:pt idx="10">
                  <c:v>1.0218999463582543E-2</c:v>
                </c:pt>
                <c:pt idx="11">
                  <c:v>1.3585835768043437E-2</c:v>
                </c:pt>
                <c:pt idx="12">
                  <c:v>1.5443299488440261E-2</c:v>
                </c:pt>
              </c:numCache>
            </c:numRef>
          </c:val>
          <c:extLst>
            <c:ext xmlns:c16="http://schemas.microsoft.com/office/drawing/2014/chart" uri="{C3380CC4-5D6E-409C-BE32-E72D297353CC}">
              <c16:uniqueId val="{00000001-A92F-45C6-8352-0CEDE8560AB4}"/>
            </c:ext>
          </c:extLst>
        </c:ser>
        <c:dLbls>
          <c:showLegendKey val="0"/>
          <c:showVal val="0"/>
          <c:showCatName val="0"/>
          <c:showSerName val="0"/>
          <c:showPercent val="0"/>
          <c:showBubbleSize val="0"/>
        </c:dLbls>
        <c:gapWidth val="219"/>
        <c:overlap val="-27"/>
        <c:axId val="827044991"/>
        <c:axId val="674780038"/>
      </c:barChart>
      <c:catAx>
        <c:axId val="827044991"/>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674780038"/>
        <c:crosses val="autoZero"/>
        <c:auto val="1"/>
        <c:lblAlgn val="ctr"/>
        <c:lblOffset val="100"/>
        <c:noMultiLvlLbl val="0"/>
      </c:catAx>
      <c:valAx>
        <c:axId val="67478003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827044991"/>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330200</xdr:colOff>
      <xdr:row>1</xdr:row>
      <xdr:rowOff>66675</xdr:rowOff>
    </xdr:from>
    <xdr:to>
      <xdr:col>18</xdr:col>
      <xdr:colOff>282575</xdr:colOff>
      <xdr:row>27</xdr:row>
      <xdr:rowOff>171450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cc02.safelinks.protection.outlook.com/?url=https%3A%2F%2Fwww.bls.gov%2Foes%2Fcurrent%2Foes_research_estimates.htm&amp;data=04%7C01%7CMatthew.Hartman%40masenate.gov%7Cc0a124aa6901467cae0a08d9ae96aec5%7C0b947e6bff264b13ae1c573c6750c888%7C1%7C0%7C637732784490246486%7CUnknown%7CTWFpbGZsb3d8eyJWIjoiMC4wLjAwMDAiLCJQIjoiV2luMzIiLCJBTiI6Ik1haWwiLCJXVCI6Mn0%3D%7C3000&amp;sdata=UhAXCfUJrrZIH061QHodsOfqR8PsQfo%2BBH8pw4V7SNw%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workbookViewId="0">
      <selection activeCell="I1" sqref="I1"/>
    </sheetView>
  </sheetViews>
  <sheetFormatPr defaultColWidth="8.90625" defaultRowHeight="14.5"/>
  <cols>
    <col min="1" max="1" width="7.36328125" style="1" customWidth="1"/>
    <col min="2" max="2" width="19.36328125" style="1" customWidth="1"/>
    <col min="3" max="4" width="12.453125"/>
    <col min="6" max="6" width="14.36328125" customWidth="1"/>
    <col min="7" max="7" width="9.90625" customWidth="1"/>
    <col min="8" max="8" width="12" customWidth="1"/>
    <col min="9" max="9" width="16.08984375" customWidth="1"/>
  </cols>
  <sheetData>
    <row r="1" spans="1:9" ht="62.15" customHeight="1">
      <c r="A1" s="20"/>
      <c r="B1" s="21"/>
      <c r="C1" s="25" t="s">
        <v>0</v>
      </c>
      <c r="D1" s="26"/>
      <c r="E1" s="5"/>
      <c r="F1" s="19" t="s">
        <v>1</v>
      </c>
      <c r="G1" s="17">
        <v>55000</v>
      </c>
      <c r="H1" s="19" t="s">
        <v>2</v>
      </c>
      <c r="I1" s="17" t="s">
        <v>84</v>
      </c>
    </row>
    <row r="2" spans="1:9" ht="52">
      <c r="A2" s="13" t="s">
        <v>3</v>
      </c>
      <c r="B2" s="13" t="s">
        <v>4</v>
      </c>
      <c r="C2" s="14" t="s">
        <v>5</v>
      </c>
      <c r="D2" s="14" t="s">
        <v>6</v>
      </c>
      <c r="E2" s="13"/>
      <c r="F2" s="14" t="s">
        <v>5</v>
      </c>
      <c r="G2" s="14" t="s">
        <v>6</v>
      </c>
    </row>
    <row r="3" spans="1:9">
      <c r="A3" t="s">
        <v>7</v>
      </c>
      <c r="B3" t="s">
        <v>8</v>
      </c>
      <c r="C3" s="12">
        <f>Inputs!F3/Inputs!D3</f>
        <v>2.0566925804949582E-2</v>
      </c>
      <c r="D3" s="12">
        <f>C3/Inputs!R3</f>
        <v>5.2889984703218838E-2</v>
      </c>
      <c r="E3" s="18"/>
      <c r="F3" s="12">
        <f>G3*Inputs!S3</f>
        <v>1.9371004493885249E-2</v>
      </c>
      <c r="G3" s="12">
        <f>D3*Inputs!$S$24*Inputs!$S$25</f>
        <v>2.0382462174211424E-2</v>
      </c>
    </row>
    <row r="4" spans="1:9">
      <c r="A4" t="s">
        <v>9</v>
      </c>
      <c r="B4" t="s">
        <v>10</v>
      </c>
      <c r="C4" s="12">
        <f>Inputs!F4/Inputs!D4</f>
        <v>2.9260681561695243E-2</v>
      </c>
      <c r="D4" s="12">
        <f>C4/Inputs!R4</f>
        <v>0.10646936067184408</v>
      </c>
      <c r="E4" s="18"/>
      <c r="F4" s="12">
        <f>G4*Inputs!S4</f>
        <v>3.6103649796928976E-2</v>
      </c>
      <c r="G4" s="12">
        <f>D4*Inputs!$S$24*Inputs!$S$25</f>
        <v>4.1030598302938523E-2</v>
      </c>
    </row>
    <row r="5" spans="1:9">
      <c r="A5" t="s">
        <v>11</v>
      </c>
      <c r="B5" t="s">
        <v>12</v>
      </c>
      <c r="C5" s="12">
        <f>Inputs!F5/Inputs!D5</f>
        <v>5.7926218542247356E-3</v>
      </c>
      <c r="D5" s="12">
        <f>C5/Inputs!R5</f>
        <v>3.4388433203290707E-2</v>
      </c>
      <c r="E5" s="18"/>
      <c r="F5" s="12">
        <f>G5*Inputs!S5</f>
        <v>7.9775743683080467E-3</v>
      </c>
      <c r="G5" s="12">
        <f>D5*Inputs!$S$24*Inputs!$S$25</f>
        <v>1.325243225025572E-2</v>
      </c>
    </row>
    <row r="6" spans="1:9">
      <c r="A6" t="s">
        <v>13</v>
      </c>
      <c r="B6" t="s">
        <v>14</v>
      </c>
      <c r="C6" s="12">
        <f>Inputs!F6/Inputs!D6</f>
        <v>1.9456777640131383E-2</v>
      </c>
      <c r="D6" s="12">
        <f>C6/Inputs!R6</f>
        <v>8.5721684070570389E-2</v>
      </c>
      <c r="E6" s="18"/>
      <c r="F6" s="12">
        <f>G6*Inputs!S6</f>
        <v>2.4533033355518853E-2</v>
      </c>
      <c r="G6" s="12">
        <f>D6*Inputs!$S$24*Inputs!$S$25</f>
        <v>3.3034968583981625E-2</v>
      </c>
    </row>
    <row r="7" spans="1:9">
      <c r="A7" t="s">
        <v>15</v>
      </c>
      <c r="B7" t="s">
        <v>16</v>
      </c>
      <c r="C7" s="12">
        <f>Inputs!F7/Inputs!D7</f>
        <v>6.9102128988679104E-3</v>
      </c>
      <c r="D7" s="12">
        <f>C7/Inputs!R7</f>
        <v>2.6603411124905777E-2</v>
      </c>
      <c r="E7" s="18"/>
      <c r="F7" s="12">
        <f>G7*Inputs!S7</f>
        <v>7.9178503809482284E-3</v>
      </c>
      <c r="G7" s="12">
        <f>D7*Inputs!$S$24*Inputs!$S$25</f>
        <v>1.025228167489689E-2</v>
      </c>
    </row>
    <row r="8" spans="1:9">
      <c r="A8" t="s">
        <v>17</v>
      </c>
      <c r="B8" t="s">
        <v>18</v>
      </c>
      <c r="C8" s="12">
        <f>Inputs!F8/Inputs!D8</f>
        <v>6.8634218418225741E-3</v>
      </c>
      <c r="D8" s="12">
        <f>C8/Inputs!R8</f>
        <v>2.6787565016272996E-2</v>
      </c>
      <c r="E8" s="18"/>
      <c r="F8" s="12">
        <f>G8*Inputs!S8</f>
        <v>7.9655645586900695E-3</v>
      </c>
      <c r="G8" s="12">
        <f>D8*Inputs!$S$24*Inputs!$S$25</f>
        <v>1.0323249926184696E-2</v>
      </c>
    </row>
    <row r="9" spans="1:9">
      <c r="A9" t="s">
        <v>19</v>
      </c>
      <c r="B9" t="s">
        <v>20</v>
      </c>
      <c r="C9" s="12">
        <f>Inputs!F9/Inputs!D9</f>
        <v>1.0623874745305757E-2</v>
      </c>
      <c r="D9" s="12">
        <f>C9/Inputs!R9</f>
        <v>2.5359807578059085E-2</v>
      </c>
      <c r="E9" s="18"/>
      <c r="F9" s="12">
        <f>G9*Inputs!S9</f>
        <v>9.37066190880184E-3</v>
      </c>
      <c r="G9" s="12">
        <f>D9*Inputs!$S$24*Inputs!$S$25</f>
        <v>9.7730283267336952E-3</v>
      </c>
    </row>
    <row r="10" spans="1:9">
      <c r="A10" t="s">
        <v>21</v>
      </c>
      <c r="B10" t="s">
        <v>22</v>
      </c>
      <c r="C10" s="12">
        <f>Inputs!F10/Inputs!D10</f>
        <v>1.5030023781188982E-2</v>
      </c>
      <c r="D10" s="12">
        <f>C10/Inputs!R10</f>
        <v>4.8133987808344172E-2</v>
      </c>
      <c r="E10" s="18"/>
      <c r="F10" s="12">
        <f>G10*Inputs!S10</f>
        <v>1.6475491861880555E-2</v>
      </c>
      <c r="G10" s="12">
        <f>D10*Inputs!$S$24*Inputs!$S$25</f>
        <v>1.8549621280904257E-2</v>
      </c>
    </row>
    <row r="11" spans="1:9">
      <c r="A11" t="s">
        <v>23</v>
      </c>
      <c r="B11" t="s">
        <v>24</v>
      </c>
      <c r="C11" s="12">
        <f>Inputs!F11/Inputs!D11</f>
        <v>6.1236084882714207E-3</v>
      </c>
      <c r="D11" s="12">
        <f>C11/Inputs!R11</f>
        <v>3.3144461869149877E-2</v>
      </c>
      <c r="E11" s="18"/>
      <c r="F11" s="12">
        <f>G11*Inputs!S11</f>
        <v>7.9720725362583036E-3</v>
      </c>
      <c r="G11" s="12">
        <f>D11*Inputs!$S$24*Inputs!$S$25</f>
        <v>1.2773037166173087E-2</v>
      </c>
    </row>
    <row r="12" spans="1:9">
      <c r="A12" t="s">
        <v>25</v>
      </c>
      <c r="B12" t="s">
        <v>26</v>
      </c>
      <c r="C12" s="12">
        <f>Inputs!F12/Inputs!D12</f>
        <v>3.5803558889837832E-3</v>
      </c>
      <c r="D12" s="12">
        <f>C12/Inputs!R12</f>
        <v>1.8917175683273505E-2</v>
      </c>
      <c r="E12" s="18"/>
      <c r="F12" s="12">
        <f>G12*Inputs!S12</f>
        <v>4.5914575990341428E-3</v>
      </c>
      <c r="G12" s="12">
        <f>D12*Inputs!$S$24*Inputs!$S$25</f>
        <v>7.2902009703884147E-3</v>
      </c>
    </row>
    <row r="13" spans="1:9">
      <c r="A13" t="s">
        <v>27</v>
      </c>
      <c r="B13" t="s">
        <v>28</v>
      </c>
      <c r="C13" s="12">
        <f>Inputs!F13/Inputs!D13</f>
        <v>8.090687341139241E-3</v>
      </c>
      <c r="D13" s="12">
        <f>C13/Inputs!R13</f>
        <v>2.9814131027425767E-2</v>
      </c>
      <c r="E13" s="18"/>
      <c r="F13" s="12">
        <f>G13*Inputs!S13</f>
        <v>9.1971556498103429E-3</v>
      </c>
      <c r="G13" s="12">
        <f>D13*Inputs!$S$24*Inputs!$S$25</f>
        <v>1.1489611905418185E-2</v>
      </c>
    </row>
    <row r="14" spans="1:9">
      <c r="A14" t="s">
        <v>29</v>
      </c>
      <c r="B14" t="s">
        <v>30</v>
      </c>
      <c r="C14" s="12">
        <f>Inputs!F14/Inputs!D14</f>
        <v>5.1083838474280307E-3</v>
      </c>
      <c r="D14" s="12">
        <f>C14/Inputs!R14</f>
        <v>3.0936107894920899E-2</v>
      </c>
      <c r="E14" s="18"/>
      <c r="F14" s="12">
        <f>G14*Inputs!S14</f>
        <v>6.8170909538684188E-3</v>
      </c>
      <c r="G14" s="12">
        <f>D14*Inputs!$S$24*Inputs!$S$25</f>
        <v>1.1921993408086081E-2</v>
      </c>
    </row>
    <row r="15" spans="1:9">
      <c r="A15" t="s">
        <v>31</v>
      </c>
      <c r="B15" t="s">
        <v>32</v>
      </c>
      <c r="C15" s="12">
        <f>Inputs!F15/Inputs!D15</f>
        <v>4.6092719532556626E-3</v>
      </c>
      <c r="D15" s="12">
        <f>C15/Inputs!R15</f>
        <v>2.3501514790753259E-2</v>
      </c>
      <c r="E15" s="18"/>
      <c r="F15" s="12">
        <f>G15*Inputs!S15</f>
        <v>5.7761644336328417E-3</v>
      </c>
      <c r="G15" s="12">
        <f>D15*Inputs!$S$24*Inputs!$S$25</f>
        <v>9.0568892947712632E-3</v>
      </c>
    </row>
    <row r="16" spans="1:9">
      <c r="A16" t="s">
        <v>33</v>
      </c>
      <c r="B16" t="s">
        <v>34</v>
      </c>
      <c r="C16" s="12">
        <f>Inputs!F16/Inputs!D16</f>
        <v>2.1089883140182265E-2</v>
      </c>
      <c r="D16" s="12">
        <f>C16/Inputs!R16</f>
        <v>6.1587366217426394E-2</v>
      </c>
      <c r="E16" s="18"/>
      <c r="F16" s="12">
        <f>G16*Inputs!S16</f>
        <v>2.1365389114928784E-2</v>
      </c>
      <c r="G16" s="12">
        <f>D16*Inputs!$S$24*Inputs!$S$25</f>
        <v>2.3734212996654611E-2</v>
      </c>
    </row>
    <row r="17" spans="1:7">
      <c r="A17" t="s">
        <v>35</v>
      </c>
      <c r="B17" t="s">
        <v>36</v>
      </c>
      <c r="C17" s="12">
        <f>Inputs!F17/Inputs!D17</f>
        <v>1.1443838731179965E-2</v>
      </c>
      <c r="D17" s="12">
        <f>C17/Inputs!R17</f>
        <v>5.0120952195966233E-2</v>
      </c>
      <c r="E17" s="18"/>
      <c r="F17" s="12">
        <f>G17*Inputs!S17</f>
        <v>1.3901795629964148E-2</v>
      </c>
      <c r="G17" s="12">
        <f>D17*Inputs!$S$24*Inputs!$S$25</f>
        <v>1.9315347092690078E-2</v>
      </c>
    </row>
    <row r="18" spans="1:7">
      <c r="A18" t="s">
        <v>37</v>
      </c>
      <c r="B18" t="s">
        <v>38</v>
      </c>
      <c r="C18" s="12">
        <f>Inputs!F18/Inputs!D18</f>
        <v>9.5611422385642117E-3</v>
      </c>
      <c r="D18" s="12">
        <f>C18/Inputs!R18</f>
        <v>3.3238320241107393E-2</v>
      </c>
      <c r="E18" s="18"/>
      <c r="F18" s="12">
        <f>G18*Inputs!S18</f>
        <v>1.0218999463582543E-2</v>
      </c>
      <c r="G18" s="12">
        <f>D18*Inputs!$S$24*Inputs!$S$25</f>
        <v>1.280920780843914E-2</v>
      </c>
    </row>
    <row r="19" spans="1:7">
      <c r="A19" t="s">
        <v>39</v>
      </c>
      <c r="B19" t="s">
        <v>40</v>
      </c>
      <c r="C19" s="12">
        <f>Inputs!F19/Inputs!D19</f>
        <v>1.3854488276426664E-2</v>
      </c>
      <c r="D19" s="12">
        <f>C19/Inputs!R19</f>
        <v>3.8291032395539111E-2</v>
      </c>
      <c r="E19" s="18"/>
      <c r="F19" s="12">
        <f>G19*Inputs!S19</f>
        <v>1.3585835768043437E-2</v>
      </c>
      <c r="G19" s="12">
        <f>D19*Inputs!$S$24*Inputs!$S$25</f>
        <v>1.4756395256928137E-2</v>
      </c>
    </row>
    <row r="20" spans="1:7">
      <c r="A20" t="s">
        <v>41</v>
      </c>
      <c r="B20" t="s">
        <v>42</v>
      </c>
      <c r="C20" s="12">
        <f>Inputs!F20/Inputs!D20</f>
        <v>1.8242794839395053E-2</v>
      </c>
      <c r="D20" s="12">
        <f>C20/Inputs!R20</f>
        <v>4.0354659368724413E-2</v>
      </c>
      <c r="E20" s="18"/>
      <c r="F20" s="12">
        <f>G20*Inputs!S20</f>
        <v>1.5443299488440261E-2</v>
      </c>
      <c r="G20" s="12">
        <f>D20*Inputs!$S$24*Inputs!$S$25</f>
        <v>1.5551664889896512E-2</v>
      </c>
    </row>
    <row r="21" spans="1:7">
      <c r="A21" t="s">
        <v>43</v>
      </c>
      <c r="B21" t="s">
        <v>44</v>
      </c>
      <c r="C21" s="12">
        <f>Inputs!F21/Inputs!D21</f>
        <v>1.0531429676672983E-2</v>
      </c>
      <c r="D21" s="12">
        <f>C21/Inputs!R21</f>
        <v>3.0221080826605299E-2</v>
      </c>
      <c r="E21" s="18"/>
      <c r="F21" s="12">
        <f>G21*Inputs!S21</f>
        <v>1.0470801954772979E-2</v>
      </c>
      <c r="G21" s="12">
        <f>D21*Inputs!$S$24*Inputs!$S$25</f>
        <v>1.1646440063624761E-2</v>
      </c>
    </row>
    <row r="25" spans="1:7">
      <c r="A25" s="15" t="s">
        <v>45</v>
      </c>
    </row>
    <row r="26" spans="1:7">
      <c r="A26" s="16" t="s">
        <v>46</v>
      </c>
    </row>
    <row r="27" spans="1:7">
      <c r="A27" s="16" t="s">
        <v>47</v>
      </c>
    </row>
    <row r="28" spans="1:7">
      <c r="A28" s="16" t="s">
        <v>48</v>
      </c>
    </row>
    <row r="29" spans="1:7">
      <c r="A29" s="16" t="s">
        <v>49</v>
      </c>
    </row>
    <row r="30" spans="1:7">
      <c r="A30" s="16" t="s">
        <v>50</v>
      </c>
    </row>
    <row r="32" spans="1:7">
      <c r="A32" s="23" t="s">
        <v>51</v>
      </c>
    </row>
    <row r="33" spans="1:1">
      <c r="A33" s="24" t="s">
        <v>52</v>
      </c>
    </row>
  </sheetData>
  <mergeCells count="1">
    <mergeCell ref="C1:D1"/>
  </mergeCells>
  <dataValidations count="1">
    <dataValidation type="list" allowBlank="1" showInputMessage="1" showErrorMessage="1" sqref="I1" xr:uid="{00000000-0002-0000-0000-000000000000}">
      <formula1>"Neutral - $1.8b,1% - $2b,1.1% - $2.2b,1.2% - $2.4b"</formula1>
    </dataValidation>
  </dataValidations>
  <hyperlinks>
    <hyperlink ref="A33" r:id="rId1" display="https://gcc02.safelinks.protection.outlook.com/?url=https%3A%2F%2Fwww.bls.gov%2Foes%2Fcurrent%2Foes_research_estimates.htm&amp;data=04%7C01%7CMatthew.Hartman%40masenate.gov%7Cc0a124aa6901467cae0a08d9ae96aec5%7C0b947e6bff264b13ae1c573c6750c888%7C1%7C0%7C637732784490246486%7CUnknown%7CTWFpbGZsb3d8eyJWIjoiMC4wLjAwMDAiLCJQIjoiV2luMzIiLCJBTiI6Ik1haWwiLCJXVCI6Mn0%3D%7C3000&amp;sdata=UhAXCfUJrrZIH061QHodsOfqR8PsQfo%2BBH8pw4V7SNw%3D&amp;reserved=0" xr:uid="{586BEC43-012B-43C9-A0EC-858BC63318E7}"/>
  </hyperlinks>
  <pageMargins left="0.75" right="0.75" top="1" bottom="1" header="0.5" footer="0.5"/>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workbookViewId="0">
      <selection activeCell="Q23" sqref="Q23"/>
    </sheetView>
  </sheetViews>
  <sheetFormatPr defaultColWidth="8.90625" defaultRowHeight="14.5"/>
  <cols>
    <col min="1" max="1" width="7.36328125" style="1" customWidth="1"/>
    <col min="2" max="2" width="33.6328125" style="1" customWidth="1"/>
    <col min="3" max="3" width="9.08984375" style="1"/>
    <col min="4" max="6" width="12.453125" style="2"/>
    <col min="16" max="16" width="13.90625" customWidth="1"/>
    <col min="17" max="17" width="13.453125" customWidth="1"/>
    <col min="18" max="20" width="12.453125"/>
  </cols>
  <sheetData>
    <row r="1" spans="1:19">
      <c r="A1" s="27" t="s">
        <v>53</v>
      </c>
      <c r="B1" s="28"/>
      <c r="C1" s="28"/>
      <c r="D1" s="29"/>
      <c r="E1" s="29"/>
      <c r="F1" s="29"/>
      <c r="H1" s="30" t="s">
        <v>54</v>
      </c>
      <c r="I1" s="30"/>
      <c r="J1" s="30"/>
      <c r="K1" s="30"/>
      <c r="L1" s="30"/>
      <c r="M1" s="30"/>
      <c r="N1" s="30"/>
      <c r="O1" s="22"/>
      <c r="P1" s="30" t="s">
        <v>55</v>
      </c>
      <c r="Q1" s="30"/>
      <c r="R1" s="30"/>
      <c r="S1" s="30"/>
    </row>
    <row r="2" spans="1:19" ht="52">
      <c r="A2" s="3" t="s">
        <v>3</v>
      </c>
      <c r="B2" s="3" t="s">
        <v>56</v>
      </c>
      <c r="C2" s="3" t="s">
        <v>57</v>
      </c>
      <c r="D2" s="3" t="s">
        <v>58</v>
      </c>
      <c r="E2" s="3" t="s">
        <v>59</v>
      </c>
      <c r="F2" s="3" t="s">
        <v>60</v>
      </c>
      <c r="G2" s="5"/>
      <c r="H2" s="3" t="s">
        <v>61</v>
      </c>
      <c r="I2" s="3" t="s">
        <v>62</v>
      </c>
      <c r="J2" s="3" t="s">
        <v>63</v>
      </c>
      <c r="K2" s="3" t="s">
        <v>64</v>
      </c>
      <c r="L2" s="3" t="s">
        <v>65</v>
      </c>
      <c r="M2" s="3" t="s">
        <v>66</v>
      </c>
      <c r="N2" s="3" t="s">
        <v>67</v>
      </c>
      <c r="O2" s="11"/>
      <c r="P2" s="3" t="s">
        <v>68</v>
      </c>
      <c r="Q2" s="3" t="s">
        <v>69</v>
      </c>
      <c r="R2" s="3" t="s">
        <v>70</v>
      </c>
      <c r="S2" s="3" t="s">
        <v>71</v>
      </c>
    </row>
    <row r="3" spans="1:19">
      <c r="A3" t="s">
        <v>7</v>
      </c>
      <c r="B3" t="s">
        <v>72</v>
      </c>
      <c r="C3">
        <v>800</v>
      </c>
      <c r="D3" s="4">
        <v>668025.31599999999</v>
      </c>
      <c r="E3" s="4">
        <v>188463.81299999999</v>
      </c>
      <c r="F3" s="4">
        <v>13739.22711</v>
      </c>
      <c r="H3" s="6" t="s">
        <v>7</v>
      </c>
      <c r="I3" s="10">
        <v>43680</v>
      </c>
      <c r="J3" s="10">
        <v>25190</v>
      </c>
      <c r="K3" s="10">
        <v>26910</v>
      </c>
      <c r="L3" s="10">
        <v>33560</v>
      </c>
      <c r="M3" s="10">
        <v>47280</v>
      </c>
      <c r="N3" s="10">
        <v>64870</v>
      </c>
      <c r="O3" s="10"/>
      <c r="P3">
        <f>(I3-J3*0.1+K3*0.15+L3*0.25+M3*0.25+N3*0.15)</f>
        <v>75138</v>
      </c>
      <c r="Q3">
        <f>(N3-M3)*2+M3</f>
        <v>82460</v>
      </c>
      <c r="R3" s="12">
        <f>(MIN(15000,$J3)/$J3)*0.1+(MIN(15000,$K3)/$K3)*0.15+(MIN(15000,$L3)/$L3)*0.25+(MIN(15000,$M3)/$M3)*0.25+(MIN(15000,$N3)/$N3)*0.15+(MIN(15000,$P3)/$P3)*0.1</f>
        <v>0.38886238898265169</v>
      </c>
      <c r="S3" s="12">
        <f>(MIN(Model!$G$1,$J3)/$J3)*0.1+(MIN(Model!$G$1,$K3)/$K3)*0.15+(MIN(Model!$G$1,$L3)/$L3)*0.25+(MIN(Model!$G$1,$M3)/$M3)*0.25+(MIN(Model!$G$1,$N3)/$N3)*0.15+(MIN(Model!$G$1,$P3)/$P3)*0.1</f>
        <v>0.95037607960799231</v>
      </c>
    </row>
    <row r="4" spans="1:19">
      <c r="A4" t="s">
        <v>9</v>
      </c>
      <c r="B4" t="s">
        <v>10</v>
      </c>
      <c r="C4">
        <v>73</v>
      </c>
      <c r="D4" s="4">
        <v>119027.141</v>
      </c>
      <c r="E4" s="4">
        <v>30210.238000000001</v>
      </c>
      <c r="F4" s="4">
        <v>3482.8152700000001</v>
      </c>
      <c r="H4" s="6" t="s">
        <v>9</v>
      </c>
      <c r="I4" s="10">
        <v>55420</v>
      </c>
      <c r="J4" s="10">
        <v>33130</v>
      </c>
      <c r="K4" s="10">
        <v>41730</v>
      </c>
      <c r="L4" s="10">
        <v>52070</v>
      </c>
      <c r="M4" s="10">
        <v>62240</v>
      </c>
      <c r="N4" s="10">
        <v>79790</v>
      </c>
      <c r="O4" s="10"/>
      <c r="P4">
        <f t="shared" ref="P4:P21" si="0">(I4-J4*0.1+K4*0.15+L4*0.25+M4*0.25+N4*0.15)</f>
        <v>98912.5</v>
      </c>
      <c r="Q4">
        <f t="shared" ref="Q4:Q21" si="1">(N4-M4)*2+M4</f>
        <v>97340</v>
      </c>
      <c r="R4" s="12">
        <f t="shared" ref="R4:R21" si="2">(MIN(15000,$J4)/$J4)*0.1+(MIN(15000,$K4)/$K4)*0.15+(MIN(15000,$L4)/$L4)*0.25+(MIN(15000,$M4)/$M4)*0.25+(MIN(15000,$N4)/$N4)*0.15+(MIN(15000,$P4)/$P4)*0.1</f>
        <v>0.27482724961485805</v>
      </c>
      <c r="S4" s="12">
        <f>(MIN(Model!$G$1,$J4)/$J4)*0.1+(MIN(Model!$G$1,$K4)/$K4)*0.15+(MIN(Model!$G$1,$L4)/$L4)*0.25+(MIN(Model!$G$1,$M4)/$M4)*0.25+(MIN(Model!$G$1,$N4)/$N4)*0.15+(MIN(Model!$G$1,$P4)/$P4)*0.1</f>
        <v>0.87992013985190443</v>
      </c>
    </row>
    <row r="5" spans="1:19">
      <c r="A5" t="s">
        <v>11</v>
      </c>
      <c r="B5" t="s">
        <v>12</v>
      </c>
      <c r="C5">
        <v>139</v>
      </c>
      <c r="D5" s="4">
        <v>1869509.145</v>
      </c>
      <c r="E5" s="4">
        <v>230293.95699999999</v>
      </c>
      <c r="F5" s="4">
        <v>10829.35953</v>
      </c>
      <c r="H5" s="6" t="s">
        <v>11</v>
      </c>
      <c r="I5" s="10">
        <v>89410</v>
      </c>
      <c r="J5" s="10">
        <v>47550</v>
      </c>
      <c r="K5" s="10">
        <v>67280</v>
      </c>
      <c r="L5" s="10">
        <v>89500</v>
      </c>
      <c r="M5" s="10">
        <v>107610</v>
      </c>
      <c r="N5" s="10">
        <v>128390</v>
      </c>
      <c r="O5" s="10"/>
      <c r="P5">
        <f t="shared" si="0"/>
        <v>163283</v>
      </c>
      <c r="Q5">
        <f t="shared" si="1"/>
        <v>149170</v>
      </c>
      <c r="R5" s="12">
        <f t="shared" si="2"/>
        <v>0.16844680942516527</v>
      </c>
      <c r="S5" s="12">
        <f>(MIN(Model!$G$1,$J5)/$J5)*0.1+(MIN(Model!$G$1,$K5)/$K5)*0.15+(MIN(Model!$G$1,$L5)/$L5)*0.25+(MIN(Model!$G$1,$M5)/$M5)*0.25+(MIN(Model!$G$1,$N5)/$N5)*0.15+(MIN(Model!$G$1,$P5)/$P5)*0.1</f>
        <v>0.60197058303422835</v>
      </c>
    </row>
    <row r="6" spans="1:19">
      <c r="A6" t="s">
        <v>13</v>
      </c>
      <c r="B6" t="s">
        <v>14</v>
      </c>
      <c r="C6">
        <v>18160</v>
      </c>
      <c r="D6" s="4">
        <v>14666278.413000001</v>
      </c>
      <c r="E6" s="4">
        <v>3452485.1170000001</v>
      </c>
      <c r="F6" s="4">
        <v>285358.51789000002</v>
      </c>
      <c r="H6" s="6" t="s">
        <v>13</v>
      </c>
      <c r="I6" s="10">
        <v>70580</v>
      </c>
      <c r="J6" s="10">
        <v>34950</v>
      </c>
      <c r="K6" s="10">
        <v>45270</v>
      </c>
      <c r="L6" s="10">
        <v>62020</v>
      </c>
      <c r="M6" s="10">
        <v>87220</v>
      </c>
      <c r="N6" s="10">
        <v>116920</v>
      </c>
      <c r="O6" s="10"/>
      <c r="P6">
        <f t="shared" si="0"/>
        <v>128723.5</v>
      </c>
      <c r="Q6">
        <f t="shared" si="1"/>
        <v>146620</v>
      </c>
      <c r="R6" s="12">
        <f t="shared" si="2"/>
        <v>0.22697614788008116</v>
      </c>
      <c r="S6" s="12">
        <f>(MIN(Model!$G$1,$J6)/$J6)*0.1+(MIN(Model!$G$1,$K6)/$K6)*0.15+(MIN(Model!$G$1,$L6)/$L6)*0.25+(MIN(Model!$G$1,$M6)/$M6)*0.25+(MIN(Model!$G$1,$N6)/$N6)*0.15+(MIN(Model!$G$1,$P6)/$P6)*0.1</f>
        <v>0.74263831349349951</v>
      </c>
    </row>
    <row r="7" spans="1:19">
      <c r="A7" t="s">
        <v>15</v>
      </c>
      <c r="B7" t="s">
        <v>16</v>
      </c>
      <c r="C7">
        <v>6138</v>
      </c>
      <c r="D7" s="4">
        <v>24962820.057</v>
      </c>
      <c r="E7" s="4">
        <v>4465935.2659999998</v>
      </c>
      <c r="F7" s="4">
        <v>172498.40114999999</v>
      </c>
      <c r="H7" s="6" t="s">
        <v>15</v>
      </c>
      <c r="I7" s="10">
        <v>67990</v>
      </c>
      <c r="J7" s="10">
        <v>28560</v>
      </c>
      <c r="K7" s="10">
        <v>36540</v>
      </c>
      <c r="L7" s="10">
        <v>52530</v>
      </c>
      <c r="M7" s="10">
        <v>83590</v>
      </c>
      <c r="N7" s="10">
        <v>129920</v>
      </c>
      <c r="O7" s="10"/>
      <c r="P7">
        <f t="shared" si="0"/>
        <v>124133</v>
      </c>
      <c r="Q7">
        <f t="shared" si="1"/>
        <v>176250</v>
      </c>
      <c r="R7" s="12">
        <f t="shared" si="2"/>
        <v>0.25974913015566853</v>
      </c>
      <c r="S7" s="12">
        <f>(MIN(Model!$G$1,$J7)/$J7)*0.1+(MIN(Model!$G$1,$K7)/$K7)*0.15+(MIN(Model!$G$1,$L7)/$L7)*0.25+(MIN(Model!$G$1,$M7)/$M7)*0.25+(MIN(Model!$G$1,$N7)/$N7)*0.15+(MIN(Model!$G$1,$P7)/$P7)*0.1</f>
        <v>0.7723012917539509</v>
      </c>
    </row>
    <row r="8" spans="1:19">
      <c r="A8" t="s">
        <v>17</v>
      </c>
      <c r="B8" t="s">
        <v>18</v>
      </c>
      <c r="C8">
        <v>11346</v>
      </c>
      <c r="D8" s="4">
        <v>12547818.025</v>
      </c>
      <c r="E8" s="4">
        <v>2205681.605</v>
      </c>
      <c r="F8" s="4">
        <v>86120.968299999993</v>
      </c>
      <c r="H8" s="6" t="s">
        <v>17</v>
      </c>
      <c r="I8" s="10">
        <v>69340</v>
      </c>
      <c r="J8" s="10">
        <v>28840</v>
      </c>
      <c r="K8" s="10">
        <v>37140</v>
      </c>
      <c r="L8" s="10">
        <v>53920</v>
      </c>
      <c r="M8" s="10">
        <v>83440</v>
      </c>
      <c r="N8" s="10">
        <v>130620</v>
      </c>
      <c r="O8" s="10"/>
      <c r="P8">
        <f t="shared" si="0"/>
        <v>125960</v>
      </c>
      <c r="Q8">
        <f t="shared" si="1"/>
        <v>177800</v>
      </c>
      <c r="R8" s="12">
        <f t="shared" si="2"/>
        <v>0.25621671240566884</v>
      </c>
      <c r="S8" s="12">
        <f>(MIN(Model!$G$1,$J8)/$J8)*0.1+(MIN(Model!$G$1,$K8)/$K8)*0.15+(MIN(Model!$G$1,$L8)/$L8)*0.25+(MIN(Model!$G$1,$M8)/$M8)*0.25+(MIN(Model!$G$1,$N8)/$N8)*0.15+(MIN(Model!$G$1,$P8)/$P8)*0.1</f>
        <v>0.77161403779303939</v>
      </c>
    </row>
    <row r="9" spans="1:19">
      <c r="A9" t="s">
        <v>19</v>
      </c>
      <c r="B9" t="s">
        <v>20</v>
      </c>
      <c r="C9">
        <v>14133</v>
      </c>
      <c r="D9" s="4">
        <v>14007723.722999999</v>
      </c>
      <c r="E9" s="4">
        <v>5298202.4759999998</v>
      </c>
      <c r="F9" s="4">
        <v>148816.30230000001</v>
      </c>
      <c r="H9" s="6" t="s">
        <v>19</v>
      </c>
      <c r="I9" s="10">
        <v>39550</v>
      </c>
      <c r="J9" s="10">
        <v>25110</v>
      </c>
      <c r="K9" s="10">
        <v>25690</v>
      </c>
      <c r="L9" s="10">
        <v>30030</v>
      </c>
      <c r="M9" s="10">
        <v>41770</v>
      </c>
      <c r="N9" s="10">
        <v>64200</v>
      </c>
      <c r="O9" s="10"/>
      <c r="P9">
        <f t="shared" si="0"/>
        <v>68472.5</v>
      </c>
      <c r="Q9">
        <f t="shared" si="1"/>
        <v>86630</v>
      </c>
      <c r="R9" s="12">
        <f t="shared" si="2"/>
        <v>0.41892568437693389</v>
      </c>
      <c r="S9" s="12">
        <f>(MIN(Model!$G$1,$J9)/$J9)*0.1+(MIN(Model!$G$1,$K9)/$K9)*0.15+(MIN(Model!$G$1,$L9)/$L9)*0.25+(MIN(Model!$G$1,$M9)/$M9)*0.25+(MIN(Model!$G$1,$N9)/$N9)*0.15+(MIN(Model!$G$1,$P9)/$P9)*0.1</f>
        <v>0.95882889064884835</v>
      </c>
    </row>
    <row r="10" spans="1:19">
      <c r="A10" t="s">
        <v>21</v>
      </c>
      <c r="B10" t="s">
        <v>22</v>
      </c>
      <c r="C10">
        <v>3348</v>
      </c>
      <c r="D10" s="4">
        <v>4271271.3029999901</v>
      </c>
      <c r="E10" s="4">
        <v>1427378.655</v>
      </c>
      <c r="F10" s="4">
        <v>64197.3092599999</v>
      </c>
      <c r="H10" s="6" t="s">
        <v>21</v>
      </c>
      <c r="I10" s="10">
        <v>51220</v>
      </c>
      <c r="J10" s="10">
        <v>26710</v>
      </c>
      <c r="K10" s="10">
        <v>33580</v>
      </c>
      <c r="L10" s="10">
        <v>45060</v>
      </c>
      <c r="M10" s="10">
        <v>61720</v>
      </c>
      <c r="N10" s="10">
        <v>78110</v>
      </c>
      <c r="O10" s="10"/>
      <c r="P10">
        <f t="shared" si="0"/>
        <v>91997.5</v>
      </c>
      <c r="Q10">
        <f t="shared" si="1"/>
        <v>94500</v>
      </c>
      <c r="R10" s="12">
        <f t="shared" si="2"/>
        <v>0.31225386604231203</v>
      </c>
      <c r="S10" s="12">
        <f>(MIN(Model!$G$1,$J10)/$J10)*0.1+(MIN(Model!$G$1,$K10)/$K10)*0.15+(MIN(Model!$G$1,$L10)/$L10)*0.25+(MIN(Model!$G$1,$M10)/$M10)*0.25+(MIN(Model!$G$1,$N10)/$N10)*0.15+(MIN(Model!$G$1,$P10)/$P10)*0.1</f>
        <v>0.88818481048133879</v>
      </c>
    </row>
    <row r="11" spans="1:19">
      <c r="A11" t="s">
        <v>23</v>
      </c>
      <c r="B11" t="s">
        <v>24</v>
      </c>
      <c r="C11">
        <v>3379</v>
      </c>
      <c r="D11" s="4">
        <v>11033914.993000001</v>
      </c>
      <c r="E11" s="4">
        <v>1537798.804</v>
      </c>
      <c r="F11" s="4">
        <v>67567.3755100001</v>
      </c>
      <c r="H11" s="6" t="s">
        <v>23</v>
      </c>
      <c r="I11" s="10">
        <v>91960</v>
      </c>
      <c r="J11" s="10">
        <v>36450</v>
      </c>
      <c r="K11" s="10">
        <v>54130</v>
      </c>
      <c r="L11" s="10">
        <v>79830</v>
      </c>
      <c r="M11" s="10">
        <v>116020</v>
      </c>
      <c r="N11" s="10">
        <v>161880</v>
      </c>
      <c r="O11" s="10"/>
      <c r="P11">
        <f t="shared" si="0"/>
        <v>169679</v>
      </c>
      <c r="Q11">
        <f t="shared" si="1"/>
        <v>207740</v>
      </c>
      <c r="R11" s="12">
        <f t="shared" si="2"/>
        <v>0.1847551036564313</v>
      </c>
      <c r="S11" s="12">
        <f>(MIN(Model!$G$1,$J11)/$J11)*0.1+(MIN(Model!$G$1,$K11)/$K11)*0.15+(MIN(Model!$G$1,$L11)/$L11)*0.25+(MIN(Model!$G$1,$M11)/$M11)*0.25+(MIN(Model!$G$1,$N11)/$N11)*0.15+(MIN(Model!$G$1,$P11)/$P11)*0.1</f>
        <v>0.62413288496261432</v>
      </c>
    </row>
    <row r="12" spans="1:19">
      <c r="A12" t="s">
        <v>25</v>
      </c>
      <c r="B12" t="s">
        <v>26</v>
      </c>
      <c r="C12">
        <v>6133</v>
      </c>
      <c r="D12" s="4">
        <v>28092913.114999998</v>
      </c>
      <c r="E12" s="4">
        <v>2975492.173</v>
      </c>
      <c r="F12" s="4">
        <v>100582.62691000001</v>
      </c>
      <c r="H12" s="6" t="s">
        <v>25</v>
      </c>
      <c r="I12" s="10">
        <v>94820</v>
      </c>
      <c r="J12" s="10">
        <v>36600</v>
      </c>
      <c r="K12" s="10">
        <v>50340</v>
      </c>
      <c r="L12" s="10">
        <v>74190</v>
      </c>
      <c r="M12" s="10">
        <v>117600</v>
      </c>
      <c r="N12" s="10">
        <v>179820</v>
      </c>
      <c r="O12" s="10"/>
      <c r="P12">
        <f t="shared" si="0"/>
        <v>173631.5</v>
      </c>
      <c r="Q12">
        <f t="shared" si="1"/>
        <v>242040</v>
      </c>
      <c r="R12" s="12">
        <f t="shared" si="2"/>
        <v>0.18926482202887826</v>
      </c>
      <c r="S12" s="12">
        <f>(MIN(Model!$G$1,$J12)/$J12)*0.1+(MIN(Model!$G$1,$K12)/$K12)*0.15+(MIN(Model!$G$1,$L12)/$L12)*0.25+(MIN(Model!$G$1,$M12)/$M12)*0.25+(MIN(Model!$G$1,$N12)/$N12)*0.15+(MIN(Model!$G$1,$P12)/$P12)*0.1</f>
        <v>0.62981221199304116</v>
      </c>
    </row>
    <row r="13" spans="1:19">
      <c r="A13" t="s">
        <v>27</v>
      </c>
      <c r="B13" t="s">
        <v>73</v>
      </c>
      <c r="C13">
        <v>5140</v>
      </c>
      <c r="D13" s="4">
        <v>3982600.01299999</v>
      </c>
      <c r="E13" s="4">
        <v>822914.62699999998</v>
      </c>
      <c r="F13" s="4">
        <v>32221.971509999999</v>
      </c>
      <c r="H13" s="6" t="s">
        <v>27</v>
      </c>
      <c r="I13" s="10">
        <v>64840</v>
      </c>
      <c r="J13" s="10">
        <v>28210</v>
      </c>
      <c r="K13" s="10">
        <v>36090</v>
      </c>
      <c r="L13" s="10">
        <v>50740</v>
      </c>
      <c r="M13" s="10">
        <v>75350</v>
      </c>
      <c r="N13" s="10">
        <v>116590</v>
      </c>
      <c r="O13" s="10"/>
      <c r="P13">
        <f t="shared" si="0"/>
        <v>116443.5</v>
      </c>
      <c r="Q13">
        <f t="shared" si="1"/>
        <v>157830</v>
      </c>
      <c r="R13" s="12">
        <f t="shared" si="2"/>
        <v>0.27137089233614375</v>
      </c>
      <c r="S13" s="12">
        <f>(MIN(Model!$G$1,$J13)/$J13)*0.1+(MIN(Model!$G$1,$K13)/$K13)*0.15+(MIN(Model!$G$1,$L13)/$L13)*0.25+(MIN(Model!$G$1,$M13)/$M13)*0.25+(MIN(Model!$G$1,$N13)/$N13)*0.15+(MIN(Model!$G$1,$P13)/$P13)*0.1</f>
        <v>0.80047574500520913</v>
      </c>
    </row>
    <row r="14" spans="1:19">
      <c r="A14" t="s">
        <v>29</v>
      </c>
      <c r="B14" t="s">
        <v>74</v>
      </c>
      <c r="C14">
        <v>26346</v>
      </c>
      <c r="D14" s="4">
        <v>43369143.895000003</v>
      </c>
      <c r="E14" s="4">
        <v>5686543.0619999897</v>
      </c>
      <c r="F14" s="4">
        <v>221546.23415</v>
      </c>
      <c r="H14" s="6" t="s">
        <v>29</v>
      </c>
      <c r="I14" s="10">
        <v>105370</v>
      </c>
      <c r="J14" s="10">
        <v>41150</v>
      </c>
      <c r="K14" s="10">
        <v>58330</v>
      </c>
      <c r="L14" s="10">
        <v>88280</v>
      </c>
      <c r="M14" s="10">
        <v>132780</v>
      </c>
      <c r="N14" s="10">
        <v>193010</v>
      </c>
      <c r="O14" s="10"/>
      <c r="P14">
        <f t="shared" si="0"/>
        <v>194221</v>
      </c>
      <c r="Q14">
        <f t="shared" si="1"/>
        <v>253240</v>
      </c>
      <c r="R14" s="12">
        <f t="shared" si="2"/>
        <v>0.16512690816761494</v>
      </c>
      <c r="S14" s="12">
        <f>(MIN(Model!$G$1,$J14)/$J14)*0.1+(MIN(Model!$G$1,$K14)/$K14)*0.15+(MIN(Model!$G$1,$L14)/$L14)*0.25+(MIN(Model!$G$1,$M14)/$M14)*0.25+(MIN(Model!$G$1,$N14)/$N14)*0.15+(MIN(Model!$G$1,$P14)/$P14)*0.1</f>
        <v>0.5718079787936079</v>
      </c>
    </row>
    <row r="15" spans="1:19">
      <c r="A15" t="s">
        <v>31</v>
      </c>
      <c r="B15" t="s">
        <v>75</v>
      </c>
      <c r="C15">
        <v>667</v>
      </c>
      <c r="D15" s="4">
        <v>3842067.04</v>
      </c>
      <c r="E15" s="4">
        <v>427201.22100000002</v>
      </c>
      <c r="F15" s="4">
        <v>17709.131850000002</v>
      </c>
      <c r="H15" s="6" t="s">
        <v>31</v>
      </c>
      <c r="I15" s="10">
        <v>90700</v>
      </c>
      <c r="J15" s="10">
        <v>34720</v>
      </c>
      <c r="K15" s="10">
        <v>47700</v>
      </c>
      <c r="L15" s="10">
        <v>73790</v>
      </c>
      <c r="M15" s="10">
        <v>115560</v>
      </c>
      <c r="N15" s="10">
        <v>166820</v>
      </c>
      <c r="O15" s="10"/>
      <c r="P15">
        <f t="shared" si="0"/>
        <v>166743.5</v>
      </c>
      <c r="Q15">
        <f t="shared" si="1"/>
        <v>218080</v>
      </c>
      <c r="R15" s="12">
        <f t="shared" si="2"/>
        <v>0.19612658989407758</v>
      </c>
      <c r="S15" s="12">
        <f>(MIN(Model!$G$1,$J15)/$J15)*0.1+(MIN(Model!$G$1,$K15)/$K15)*0.15+(MIN(Model!$G$1,$L15)/$L15)*0.25+(MIN(Model!$G$1,$M15)/$M15)*0.25+(MIN(Model!$G$1,$N15)/$N15)*0.15+(MIN(Model!$G$1,$P15)/$P15)*0.1</f>
        <v>0.63776471652000266</v>
      </c>
    </row>
    <row r="16" spans="1:19">
      <c r="A16" t="s">
        <v>33</v>
      </c>
      <c r="B16" t="s">
        <v>76</v>
      </c>
      <c r="C16">
        <v>9998</v>
      </c>
      <c r="D16" s="4">
        <v>9504337.17900002</v>
      </c>
      <c r="E16" s="4">
        <v>3580578.7560000001</v>
      </c>
      <c r="F16" s="4">
        <v>200445.36043</v>
      </c>
      <c r="H16" s="6" t="s">
        <v>33</v>
      </c>
      <c r="I16" s="10">
        <v>50180</v>
      </c>
      <c r="J16" s="10">
        <v>25610</v>
      </c>
      <c r="K16" s="10">
        <v>29400</v>
      </c>
      <c r="L16" s="10">
        <v>38190</v>
      </c>
      <c r="M16" s="10">
        <v>56350</v>
      </c>
      <c r="N16" s="10">
        <v>87540</v>
      </c>
      <c r="O16" s="10"/>
      <c r="P16">
        <f t="shared" si="0"/>
        <v>88795</v>
      </c>
      <c r="Q16">
        <f t="shared" si="1"/>
        <v>118730</v>
      </c>
      <c r="R16" s="12">
        <f t="shared" si="2"/>
        <v>0.34243846482616425</v>
      </c>
      <c r="S16" s="12">
        <f>(MIN(Model!$G$1,$J16)/$J16)*0.1+(MIN(Model!$G$1,$K16)/$K16)*0.15+(MIN(Model!$G$1,$L16)/$L16)*0.25+(MIN(Model!$G$1,$M16)/$M16)*0.25+(MIN(Model!$G$1,$N16)/$N16)*0.15+(MIN(Model!$G$1,$P16)/$P16)*0.1</f>
        <v>0.90019370425049627</v>
      </c>
    </row>
    <row r="17" spans="1:19">
      <c r="A17" t="s">
        <v>35</v>
      </c>
      <c r="B17" t="s">
        <v>36</v>
      </c>
      <c r="C17">
        <v>2858</v>
      </c>
      <c r="D17" s="4">
        <v>1276980.088</v>
      </c>
      <c r="E17" s="4">
        <v>427414.79800000001</v>
      </c>
      <c r="F17" s="4">
        <v>14613.554190000001</v>
      </c>
      <c r="H17" s="6" t="s">
        <v>35</v>
      </c>
      <c r="I17" s="10">
        <v>73120</v>
      </c>
      <c r="J17" s="10">
        <v>30440</v>
      </c>
      <c r="K17" s="10">
        <v>44170</v>
      </c>
      <c r="L17" s="10">
        <v>64980</v>
      </c>
      <c r="M17" s="10">
        <v>91690</v>
      </c>
      <c r="N17" s="10">
        <v>122760</v>
      </c>
      <c r="O17" s="10"/>
      <c r="P17">
        <f t="shared" si="0"/>
        <v>134283</v>
      </c>
      <c r="Q17">
        <f t="shared" si="1"/>
        <v>153830</v>
      </c>
      <c r="R17" s="12">
        <f t="shared" si="2"/>
        <v>0.2283244477566205</v>
      </c>
      <c r="S17" s="12">
        <f>(MIN(Model!$G$1,$J17)/$J17)*0.1+(MIN(Model!$G$1,$K17)/$K17)*0.15+(MIN(Model!$G$1,$L17)/$L17)*0.25+(MIN(Model!$G$1,$M17)/$M17)*0.25+(MIN(Model!$G$1,$N17)/$N17)*0.15+(MIN(Model!$G$1,$P17)/$P17)*0.1</f>
        <v>0.71972797399148492</v>
      </c>
    </row>
    <row r="18" spans="1:19">
      <c r="A18" t="s">
        <v>37</v>
      </c>
      <c r="B18" t="s">
        <v>38</v>
      </c>
      <c r="C18">
        <v>46189</v>
      </c>
      <c r="D18" s="4">
        <v>14833467.588</v>
      </c>
      <c r="E18" s="4">
        <v>4904506.5389999896</v>
      </c>
      <c r="F18" s="4">
        <v>141824.89350000001</v>
      </c>
      <c r="H18" s="6" t="s">
        <v>37</v>
      </c>
      <c r="I18" s="10">
        <v>63550</v>
      </c>
      <c r="J18" s="10">
        <v>27770</v>
      </c>
      <c r="K18" s="10">
        <v>32470</v>
      </c>
      <c r="L18" s="10">
        <v>45110</v>
      </c>
      <c r="M18" s="10">
        <v>76190</v>
      </c>
      <c r="N18" s="10">
        <v>119520</v>
      </c>
      <c r="O18" s="10"/>
      <c r="P18">
        <f t="shared" si="0"/>
        <v>113896.5</v>
      </c>
      <c r="Q18">
        <f t="shared" si="1"/>
        <v>162850</v>
      </c>
      <c r="R18" s="12">
        <f t="shared" si="2"/>
        <v>0.28765419459252628</v>
      </c>
      <c r="S18" s="12">
        <f>(MIN(Model!$G$1,$J18)/$J18)*0.1+(MIN(Model!$G$1,$K18)/$K18)*0.15+(MIN(Model!$G$1,$L18)/$L18)*0.25+(MIN(Model!$G$1,$M18)/$M18)*0.25+(MIN(Model!$G$1,$N18)/$N18)*0.15+(MIN(Model!$G$1,$P18)/$P18)*0.1</f>
        <v>0.79778543813224112</v>
      </c>
    </row>
    <row r="19" spans="1:19">
      <c r="A19" t="s">
        <v>39</v>
      </c>
      <c r="B19" t="s">
        <v>77</v>
      </c>
      <c r="C19">
        <v>2992</v>
      </c>
      <c r="D19" s="4">
        <v>2379704.3530000001</v>
      </c>
      <c r="E19" s="4">
        <v>708199.48599999899</v>
      </c>
      <c r="F19" s="4">
        <v>32969.586060000001</v>
      </c>
      <c r="H19" s="6" t="s">
        <v>39</v>
      </c>
      <c r="I19" s="10">
        <v>46510</v>
      </c>
      <c r="J19" s="10">
        <v>25190</v>
      </c>
      <c r="K19" s="10">
        <v>27370</v>
      </c>
      <c r="L19" s="10">
        <v>35600</v>
      </c>
      <c r="M19" s="10">
        <v>55140</v>
      </c>
      <c r="N19" s="10">
        <v>78780</v>
      </c>
      <c r="O19" s="10"/>
      <c r="P19">
        <f t="shared" si="0"/>
        <v>82598.5</v>
      </c>
      <c r="Q19">
        <f t="shared" si="1"/>
        <v>102420</v>
      </c>
      <c r="R19" s="12">
        <f t="shared" si="2"/>
        <v>0.36182070343030781</v>
      </c>
      <c r="S19" s="12">
        <f>(MIN(Model!$G$1,$J19)/$J19)*0.1+(MIN(Model!$G$1,$K19)/$K19)*0.15+(MIN(Model!$G$1,$L19)/$L19)*0.25+(MIN(Model!$G$1,$M19)/$M19)*0.25+(MIN(Model!$G$1,$N19)/$N19)*0.15+(MIN(Model!$G$1,$P19)/$P19)*0.1</f>
        <v>0.92067442837469937</v>
      </c>
    </row>
    <row r="20" spans="1:19">
      <c r="A20" t="s">
        <v>41</v>
      </c>
      <c r="B20" t="s">
        <v>78</v>
      </c>
      <c r="C20">
        <v>12233</v>
      </c>
      <c r="D20" s="4">
        <v>7940172.8339999998</v>
      </c>
      <c r="E20" s="4">
        <v>4486190.4989999998</v>
      </c>
      <c r="F20" s="4">
        <v>144850.94399999999</v>
      </c>
      <c r="H20" s="6" t="s">
        <v>41</v>
      </c>
      <c r="I20" s="10">
        <v>34060</v>
      </c>
      <c r="J20" s="10">
        <v>25040</v>
      </c>
      <c r="K20" s="10">
        <v>25480</v>
      </c>
      <c r="L20" s="10">
        <v>28770</v>
      </c>
      <c r="M20" s="10">
        <v>36550</v>
      </c>
      <c r="N20" s="10">
        <v>49410</v>
      </c>
      <c r="O20" s="10"/>
      <c r="P20">
        <f t="shared" si="0"/>
        <v>59119.5</v>
      </c>
      <c r="Q20">
        <f t="shared" si="1"/>
        <v>62270</v>
      </c>
      <c r="R20" s="12">
        <f t="shared" si="2"/>
        <v>0.45206167329301128</v>
      </c>
      <c r="S20" s="12">
        <f>(MIN(Model!$G$1,$J20)/$J20)*0.1+(MIN(Model!$G$1,$K20)/$K20)*0.15+(MIN(Model!$G$1,$L20)/$L20)*0.25+(MIN(Model!$G$1,$M20)/$M20)*0.25+(MIN(Model!$G$1,$N20)/$N20)*0.15+(MIN(Model!$G$1,$P20)/$P20)*0.1</f>
        <v>0.99303190994511126</v>
      </c>
    </row>
    <row r="21" spans="1:19">
      <c r="A21" t="s">
        <v>43</v>
      </c>
      <c r="B21" t="s">
        <v>44</v>
      </c>
      <c r="C21">
        <v>16434</v>
      </c>
      <c r="D21" s="4">
        <v>4207896.676</v>
      </c>
      <c r="E21" s="4">
        <v>1478630.709</v>
      </c>
      <c r="F21" s="4">
        <v>44315.167930000003</v>
      </c>
      <c r="H21" s="6" t="s">
        <v>43</v>
      </c>
      <c r="I21" s="10">
        <v>48850</v>
      </c>
      <c r="J21" s="10">
        <v>25210</v>
      </c>
      <c r="K21" s="10">
        <v>27700</v>
      </c>
      <c r="L21" s="10">
        <v>37910</v>
      </c>
      <c r="M21" s="10">
        <v>57860</v>
      </c>
      <c r="N21" s="10">
        <v>84000</v>
      </c>
      <c r="O21" s="10"/>
      <c r="P21">
        <f t="shared" si="0"/>
        <v>87026.5</v>
      </c>
      <c r="Q21">
        <f t="shared" si="1"/>
        <v>110140</v>
      </c>
      <c r="R21" s="12">
        <f t="shared" si="2"/>
        <v>0.34847958407237306</v>
      </c>
      <c r="S21" s="12">
        <f>(MIN(Model!$G$1,$J21)/$J21)*0.1+(MIN(Model!$G$1,$K21)/$K21)*0.15+(MIN(Model!$G$1,$L21)/$L21)*0.25+(MIN(Model!$G$1,$M21)/$M21)*0.25+(MIN(Model!$G$1,$N21)/$N21)*0.15+(MIN(Model!$G$1,$P21)/$P21)*0.1</f>
        <v>0.89905601175730576</v>
      </c>
    </row>
    <row r="22" spans="1:19">
      <c r="B22" s="1" t="s">
        <v>79</v>
      </c>
    </row>
    <row r="23" spans="1:19">
      <c r="E23" s="2" t="s">
        <v>80</v>
      </c>
      <c r="F23" s="7">
        <f>SUM(F3:F21)/SUM(D3:D21)</f>
        <v>8.8600456965340652E-3</v>
      </c>
      <c r="Q23" t="s">
        <v>81</v>
      </c>
      <c r="R23">
        <f>SUMPRODUCT(R3:R21,$D$3:$D$21)/SUM($D$3:$D$21)</f>
        <v>0.25012066268931021</v>
      </c>
      <c r="S23">
        <f>SUMPRODUCT(S3:S21,$D$3:$D$21)/SUM($D$3:$D$21)</f>
        <v>0.73253841635529637</v>
      </c>
    </row>
    <row r="24" spans="1:19">
      <c r="E24" s="8">
        <v>0.01</v>
      </c>
      <c r="F24" s="2">
        <f>SUM($D$3:$D$21)*0.01</f>
        <v>2035756.7089699996</v>
      </c>
      <c r="R24" t="s">
        <v>82</v>
      </c>
      <c r="S24">
        <f>R23/S23</f>
        <v>0.34144374834806818</v>
      </c>
    </row>
    <row r="25" spans="1:19">
      <c r="E25" s="9">
        <v>1.0999999999999999E-2</v>
      </c>
      <c r="F25" s="2">
        <f>SUM($D$3:$D$21)*0.011</f>
        <v>2239332.3798669996</v>
      </c>
      <c r="R25" t="s">
        <v>83</v>
      </c>
      <c r="S25">
        <f>IF(Model!I1="Neutral - $1.8b",1,IF(Model!I1="1% - $2b",0.01/F23,IF(Model!I1="1.1% - $2.2b",0.011/F23,IF(Model!I1="1.2% - $2.4b",0.012/F23,""))))</f>
        <v>1.1286623503433928</v>
      </c>
    </row>
    <row r="26" spans="1:19">
      <c r="E26" s="9">
        <v>1.2E-2</v>
      </c>
      <c r="F26" s="2">
        <f>SUM($D$3:$D$21)*0.012</f>
        <v>2442908.0507639996</v>
      </c>
    </row>
  </sheetData>
  <mergeCells count="3">
    <mergeCell ref="A1:F1"/>
    <mergeCell ref="H1:N1"/>
    <mergeCell ref="P1:S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D0E22A6DD59479B602758F786A0E9" ma:contentTypeVersion="11" ma:contentTypeDescription="Create a new document." ma:contentTypeScope="" ma:versionID="fd1e6d37ec6ee89649be98676968b94c">
  <xsd:schema xmlns:xsd="http://www.w3.org/2001/XMLSchema" xmlns:xs="http://www.w3.org/2001/XMLSchema" xmlns:p="http://schemas.microsoft.com/office/2006/metadata/properties" xmlns:ns1="http://schemas.microsoft.com/sharepoint/v3" xmlns:ns2="0bf13305-2ad3-47fc-b32f-9b4df29da98c" xmlns:ns3="e847d9e2-e67d-4e78-9623-607caff446f9" targetNamespace="http://schemas.microsoft.com/office/2006/metadata/properties" ma:root="true" ma:fieldsID="95fe03c5442a0c135415ff417c08296d" ns1:_="" ns2:_="" ns3:_="">
    <xsd:import namespace="http://schemas.microsoft.com/sharepoint/v3"/>
    <xsd:import namespace="0bf13305-2ad3-47fc-b32f-9b4df29da98c"/>
    <xsd:import namespace="e847d9e2-e67d-4e78-9623-607caff446f9"/>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f13305-2ad3-47fc-b32f-9b4df29da9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47d9e2-e67d-4e78-9623-607caff446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0481930-3F1B-4D18-B9C3-77A1F6A3A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f13305-2ad3-47fc-b32f-9b4df29da98c"/>
    <ds:schemaRef ds:uri="e847d9e2-e67d-4e78-9623-607caff446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745284-972D-4A9D-9911-48973E8EAE8A}">
  <ds:schemaRefs>
    <ds:schemaRef ds:uri="http://schemas.microsoft.com/sharepoint/v3/contenttype/forms"/>
  </ds:schemaRefs>
</ds:datastoreItem>
</file>

<file path=customXml/itemProps3.xml><?xml version="1.0" encoding="utf-8"?>
<ds:datastoreItem xmlns:ds="http://schemas.openxmlformats.org/officeDocument/2006/customXml" ds:itemID="{4BC28031-3529-4E31-A208-5540003AA96B}">
  <ds:schemaRef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e847d9e2-e67d-4e78-9623-607caff446f9"/>
    <ds:schemaRef ds:uri="0bf13305-2ad3-47fc-b32f-9b4df29da98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vt:lpstr>
      <vt:lpstr>Inputs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dc:creator>
  <cp:keywords/>
  <dc:description/>
  <cp:lastModifiedBy>Hartman, Matthew (SEN)</cp:lastModifiedBy>
  <cp:revision/>
  <dcterms:created xsi:type="dcterms:W3CDTF">2021-11-14T17:16:00Z</dcterms:created>
  <dcterms:modified xsi:type="dcterms:W3CDTF">2021-11-29T20:03:08Z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1033-11.1.0.10702</vt:lpwstr>
  </property>
  <property fmtid="{D5CDD505-2E9C-101B-9397-08002B2CF9AE}" pid="3" name="ContentTypeId">
    <vt:lpwstr>0x010100586D0E22A6DD59479B602758F786A0E9</vt:lpwstr>
  </property>
</Properties>
</file>